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095" activeTab="0"/>
  </bookViews>
  <sheets>
    <sheet name="Yellow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</author>
  </authors>
  <commentList>
    <comment ref="D31" authorId="0">
      <text>
        <r>
          <rPr>
            <b/>
            <sz val="9"/>
            <rFont val="Tahoma"/>
            <family val="0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0"/>
          </rPr>
          <t>Cleared per IR - John</t>
        </r>
        <r>
          <rPr>
            <sz val="9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9"/>
            <rFont val="Tahoma"/>
            <family val="0"/>
          </rPr>
          <t>Cleared per IR - John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<sst xmlns="http://schemas.openxmlformats.org/spreadsheetml/2006/main" count="98" uniqueCount="70">
  <si>
    <t>Credit Facility</t>
  </si>
  <si>
    <t>2012 - Q1</t>
  </si>
  <si>
    <t>2012 - Q2</t>
  </si>
  <si>
    <t>2012 - Q3</t>
  </si>
  <si>
    <t>2012 - Q4</t>
  </si>
  <si>
    <t>2013 - Q1</t>
  </si>
  <si>
    <t>2013 - Q2</t>
  </si>
  <si>
    <t>2013 - Q3</t>
  </si>
  <si>
    <t>2013 - Q4</t>
  </si>
  <si>
    <t>2014 - Q1</t>
  </si>
  <si>
    <t>2014 - Q2</t>
  </si>
  <si>
    <t>2014 - Q3</t>
  </si>
  <si>
    <t>2014 - Q4</t>
  </si>
  <si>
    <t>Tax installments</t>
  </si>
  <si>
    <t>Medium Term Notes</t>
  </si>
  <si>
    <t>A</t>
  </si>
  <si>
    <t>Gross operating profit</t>
  </si>
  <si>
    <t>Interest expense</t>
  </si>
  <si>
    <t>Income taxes</t>
  </si>
  <si>
    <t>Dividends</t>
  </si>
  <si>
    <t>2011 - Q4</t>
  </si>
  <si>
    <t>Total payouts</t>
  </si>
  <si>
    <t>Debt</t>
  </si>
  <si>
    <t>Accumulated flow</t>
  </si>
  <si>
    <t>series</t>
  </si>
  <si>
    <t>Commercial paper</t>
  </si>
  <si>
    <t>Dec 2013 - 6.85%</t>
  </si>
  <si>
    <t>July 2013 - 6.50%</t>
  </si>
  <si>
    <t>Apr 2014 - 5.71%</t>
  </si>
  <si>
    <t>Feb 2015 - 7.30%</t>
  </si>
  <si>
    <t>Feb 2016 - 5.25%</t>
  </si>
  <si>
    <t>Nov 2019 - 5.85%</t>
  </si>
  <si>
    <t>Mar 2020 - 7.75%</t>
  </si>
  <si>
    <t>Feb 2036 - 6.25%</t>
  </si>
  <si>
    <t>Debentures  2017- 6.25%</t>
  </si>
  <si>
    <t>Cash on hand - opening</t>
  </si>
  <si>
    <t xml:space="preserve">Debt    </t>
  </si>
  <si>
    <t>Annual</t>
  </si>
  <si>
    <t>Yello Media</t>
  </si>
  <si>
    <t xml:space="preserve">Taxes </t>
  </si>
  <si>
    <t>B</t>
  </si>
  <si>
    <t>C</t>
  </si>
  <si>
    <t>D</t>
  </si>
  <si>
    <t>Excess cash for period</t>
  </si>
  <si>
    <t>(A - B)</t>
  </si>
  <si>
    <t>E</t>
  </si>
  <si>
    <t>Later</t>
  </si>
  <si>
    <t>CASH PAYOUTS</t>
  </si>
  <si>
    <t>Interest</t>
  </si>
  <si>
    <t xml:space="preserve">Annual </t>
  </si>
  <si>
    <t>(The accumulated flow is the sum of the periods to date, displaying the available cash to meet critical debt payments.)</t>
  </si>
  <si>
    <t>(C - D)</t>
  </si>
  <si>
    <t>F</t>
  </si>
  <si>
    <t>Cash flow for period</t>
  </si>
  <si>
    <t>Cash from asset sales</t>
  </si>
  <si>
    <t>O/S</t>
  </si>
  <si>
    <t>Current</t>
  </si>
  <si>
    <t>EBITDA</t>
  </si>
  <si>
    <t xml:space="preserve">Test period </t>
  </si>
  <si>
    <t xml:space="preserve">(point 9.8 - 6 month EBITDA to exceed 3.5 times test period finance charges) </t>
  </si>
  <si>
    <t>&gt; 3.5</t>
  </si>
  <si>
    <t>Subject to conversion in 2012</t>
  </si>
  <si>
    <t>6-month finance charges &gt;&gt;&gt;</t>
  </si>
  <si>
    <t xml:space="preserve">Test </t>
  </si>
  <si>
    <t>Period</t>
  </si>
  <si>
    <t>PAID</t>
  </si>
  <si>
    <t xml:space="preserve">    Preferred shares</t>
  </si>
  <si>
    <t>&lt;3.5</t>
  </si>
  <si>
    <r>
      <t xml:space="preserve">(point 9.7 - total consolidated debt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to exceed 3.5 times extrapolated 12-month EBITDA)</t>
    </r>
  </si>
  <si>
    <t>total opening debt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</si>
</sst>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&quot;$&quot;#,##0.00"/>
    <numFmt numFmtId="175" formatCode="#,##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173" fontId="0" fillId="0" borderId="10" xfId="0" applyNumberFormat="1" applyFill="1" applyBorder="1" applyAlignment="1">
      <alignment horizontal="right"/>
    </xf>
    <xf numFmtId="173" fontId="0" fillId="0" borderId="0" xfId="0" applyNumberFormat="1" applyAlignment="1">
      <alignment/>
    </xf>
    <xf numFmtId="17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2" fillId="35" borderId="0" xfId="0" applyFont="1" applyFill="1" applyAlignment="1">
      <alignment horizontal="right"/>
    </xf>
    <xf numFmtId="17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3" fontId="2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13" xfId="0" applyNumberFormat="1" applyFont="1" applyFill="1" applyBorder="1" applyAlignment="1">
      <alignment horizontal="right"/>
    </xf>
    <xf numFmtId="173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2" fillId="0" borderId="0" xfId="0" applyNumberFormat="1" applyFont="1" applyFill="1" applyBorder="1" applyAlignment="1">
      <alignment horizontal="right"/>
    </xf>
    <xf numFmtId="1" fontId="2" fillId="36" borderId="0" xfId="0" applyNumberFormat="1" applyFont="1" applyFill="1" applyAlignment="1">
      <alignment horizontal="right"/>
    </xf>
    <xf numFmtId="172" fontId="2" fillId="36" borderId="0" xfId="0" applyNumberFormat="1" applyFont="1" applyFill="1" applyAlignment="1">
      <alignment horizontal="right"/>
    </xf>
    <xf numFmtId="1" fontId="3" fillId="36" borderId="0" xfId="0" applyNumberFormat="1" applyFont="1" applyFill="1" applyAlignment="1">
      <alignment horizontal="right"/>
    </xf>
    <xf numFmtId="172" fontId="3" fillId="36" borderId="0" xfId="0" applyNumberFormat="1" applyFont="1" applyFill="1" applyAlignment="1">
      <alignment horizontal="right"/>
    </xf>
    <xf numFmtId="0" fontId="2" fillId="37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73" fontId="2" fillId="0" borderId="16" xfId="0" applyNumberFormat="1" applyFont="1" applyFill="1" applyBorder="1" applyAlignment="1">
      <alignment horizontal="right"/>
    </xf>
    <xf numFmtId="173" fontId="2" fillId="0" borderId="15" xfId="0" applyNumberFormat="1" applyFont="1" applyFill="1" applyBorder="1" applyAlignment="1">
      <alignment horizontal="right"/>
    </xf>
    <xf numFmtId="173" fontId="0" fillId="0" borderId="15" xfId="0" applyNumberFormat="1" applyFill="1" applyBorder="1" applyAlignment="1">
      <alignment horizontal="right"/>
    </xf>
    <xf numFmtId="173" fontId="0" fillId="0" borderId="17" xfId="0" applyNumberForma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173" fontId="0" fillId="0" borderId="15" xfId="0" applyNumberFormat="1" applyBorder="1" applyAlignment="1">
      <alignment/>
    </xf>
    <xf numFmtId="173" fontId="2" fillId="0" borderId="18" xfId="0" applyNumberFormat="1" applyFont="1" applyBorder="1" applyAlignment="1">
      <alignment/>
    </xf>
    <xf numFmtId="173" fontId="2" fillId="0" borderId="17" xfId="0" applyNumberFormat="1" applyFont="1" applyBorder="1" applyAlignment="1">
      <alignment/>
    </xf>
    <xf numFmtId="0" fontId="3" fillId="36" borderId="0" xfId="0" applyFont="1" applyFill="1" applyAlignment="1">
      <alignment horizontal="left"/>
    </xf>
    <xf numFmtId="0" fontId="2" fillId="36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/>
    </xf>
    <xf numFmtId="175" fontId="2" fillId="0" borderId="13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2" fontId="2" fillId="0" borderId="13" xfId="0" applyNumberFormat="1" applyFont="1" applyBorder="1" applyAlignment="1">
      <alignment/>
    </xf>
    <xf numFmtId="0" fontId="3" fillId="38" borderId="0" xfId="0" applyFont="1" applyFill="1" applyAlignment="1">
      <alignment/>
    </xf>
    <xf numFmtId="0" fontId="0" fillId="38" borderId="0" xfId="0" applyFill="1" applyAlignment="1">
      <alignment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 horizontal="right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173" fontId="8" fillId="33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I38" sqref="I38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10.00390625" style="0" customWidth="1"/>
    <col min="5" max="16" width="10.8515625" style="0" customWidth="1"/>
    <col min="19" max="19" width="8.28125" style="0" customWidth="1"/>
    <col min="20" max="20" width="8.00390625" style="10" customWidth="1"/>
    <col min="21" max="21" width="9.140625" style="5" customWidth="1"/>
  </cols>
  <sheetData>
    <row r="1" spans="7:9" ht="30">
      <c r="G1" s="64"/>
      <c r="H1" s="65" t="s">
        <v>38</v>
      </c>
      <c r="I1" s="64"/>
    </row>
    <row r="2" ht="12.75"/>
    <row r="3" spans="1:21" s="16" customFormat="1" ht="12.75">
      <c r="A3" s="17"/>
      <c r="D3" s="17" t="s">
        <v>56</v>
      </c>
      <c r="E3" s="67" t="s">
        <v>63</v>
      </c>
      <c r="F3" s="66" t="s">
        <v>64</v>
      </c>
      <c r="T3" s="24"/>
      <c r="U3" s="23"/>
    </row>
    <row r="4" spans="1:21" s="19" customFormat="1" ht="12.75">
      <c r="A4" s="17"/>
      <c r="C4" s="19" t="s">
        <v>36</v>
      </c>
      <c r="D4" s="43" t="s">
        <v>20</v>
      </c>
      <c r="E4" s="2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7" t="s">
        <v>46</v>
      </c>
      <c r="T4" s="24"/>
      <c r="U4" s="23"/>
    </row>
    <row r="5" spans="1:21" s="2" customFormat="1" ht="12.75">
      <c r="A5" s="31"/>
      <c r="B5" s="53" t="s">
        <v>57</v>
      </c>
      <c r="C5" s="3"/>
      <c r="D5" s="44"/>
      <c r="T5" s="9"/>
      <c r="U5" s="11"/>
    </row>
    <row r="6" spans="1:21" s="26" customFormat="1" ht="13.5" thickBot="1">
      <c r="A6" s="32" t="s">
        <v>15</v>
      </c>
      <c r="B6" s="25" t="s">
        <v>16</v>
      </c>
      <c r="C6" s="25"/>
      <c r="D6" s="45">
        <v>155</v>
      </c>
      <c r="E6" s="30">
        <v>150</v>
      </c>
      <c r="F6" s="30">
        <f>+E6</f>
        <v>150</v>
      </c>
      <c r="G6" s="30">
        <f aca="true" t="shared" si="0" ref="G6:P6">+F6</f>
        <v>150</v>
      </c>
      <c r="H6" s="30">
        <f t="shared" si="0"/>
        <v>150</v>
      </c>
      <c r="I6" s="30">
        <f t="shared" si="0"/>
        <v>150</v>
      </c>
      <c r="J6" s="30">
        <f t="shared" si="0"/>
        <v>150</v>
      </c>
      <c r="K6" s="30">
        <f t="shared" si="0"/>
        <v>150</v>
      </c>
      <c r="L6" s="30">
        <f t="shared" si="0"/>
        <v>150</v>
      </c>
      <c r="M6" s="30">
        <f t="shared" si="0"/>
        <v>150</v>
      </c>
      <c r="N6" s="30">
        <f t="shared" si="0"/>
        <v>150</v>
      </c>
      <c r="O6" s="30">
        <f t="shared" si="0"/>
        <v>150</v>
      </c>
      <c r="P6" s="30">
        <f t="shared" si="0"/>
        <v>150</v>
      </c>
      <c r="Q6" s="30">
        <f>+P6*4</f>
        <v>600</v>
      </c>
      <c r="R6" s="30">
        <f>+Q6</f>
        <v>600</v>
      </c>
      <c r="T6" s="28"/>
      <c r="U6" s="29"/>
    </row>
    <row r="7" spans="1:21" s="26" customFormat="1" ht="13.5" thickTop="1">
      <c r="A7" s="32"/>
      <c r="B7" s="25"/>
      <c r="C7" s="25"/>
      <c r="D7" s="4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T7" s="28"/>
      <c r="U7" s="29"/>
    </row>
    <row r="8" spans="1:21" s="2" customFormat="1" ht="12.75">
      <c r="A8" s="31"/>
      <c r="B8" s="53" t="s">
        <v>47</v>
      </c>
      <c r="D8" s="4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T8" s="9"/>
      <c r="U8" s="11"/>
    </row>
    <row r="9" spans="1:21" s="2" customFormat="1" ht="12.75">
      <c r="A9" s="31"/>
      <c r="B9" s="25" t="s">
        <v>17</v>
      </c>
      <c r="D9" s="4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T9" s="9"/>
      <c r="U9" s="11"/>
    </row>
    <row r="10" spans="1:21" s="2" customFormat="1" ht="12.75">
      <c r="A10" s="31"/>
      <c r="B10" s="1" t="s">
        <v>0</v>
      </c>
      <c r="D10" s="47">
        <v>4.655</v>
      </c>
      <c r="E10" s="12">
        <f>+$U35/4</f>
        <v>2.07</v>
      </c>
      <c r="F10" s="12">
        <f>+$U35/4</f>
        <v>2.07</v>
      </c>
      <c r="G10" s="12">
        <f>+$U35/4</f>
        <v>2.07</v>
      </c>
      <c r="H10" s="12">
        <f>+$U35/4</f>
        <v>2.07</v>
      </c>
      <c r="I10" s="12">
        <f>+$U35/4</f>
        <v>2.07</v>
      </c>
      <c r="J10" s="12"/>
      <c r="K10" s="12"/>
      <c r="L10" s="12"/>
      <c r="M10" s="12"/>
      <c r="N10" s="12"/>
      <c r="O10" s="12"/>
      <c r="P10" s="12"/>
      <c r="Q10" s="12"/>
      <c r="R10" s="12"/>
      <c r="T10" s="9"/>
      <c r="U10" s="11"/>
    </row>
    <row r="11" spans="1:21" s="2" customFormat="1" ht="12.75">
      <c r="A11" s="31"/>
      <c r="B11" s="1" t="s">
        <v>25</v>
      </c>
      <c r="C11" s="68" t="s">
        <v>65</v>
      </c>
      <c r="D11" s="4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T11" s="9"/>
      <c r="U11" s="11"/>
    </row>
    <row r="12" spans="1:21" s="2" customFormat="1" ht="12.75">
      <c r="A12" s="31"/>
      <c r="B12" s="1" t="s">
        <v>34</v>
      </c>
      <c r="D12" s="47">
        <f aca="true" t="shared" si="1" ref="D12:J12">+$U37/4</f>
        <v>2.875</v>
      </c>
      <c r="E12" s="12">
        <f t="shared" si="1"/>
        <v>2.875</v>
      </c>
      <c r="F12" s="12">
        <f t="shared" si="1"/>
        <v>2.875</v>
      </c>
      <c r="G12" s="12">
        <f t="shared" si="1"/>
        <v>2.875</v>
      </c>
      <c r="H12" s="12">
        <f t="shared" si="1"/>
        <v>2.875</v>
      </c>
      <c r="I12" s="12">
        <f t="shared" si="1"/>
        <v>2.875</v>
      </c>
      <c r="J12" s="12">
        <f t="shared" si="1"/>
        <v>2.875</v>
      </c>
      <c r="K12" s="12">
        <f aca="true" t="shared" si="2" ref="K12:P12">+$U37/4</f>
        <v>2.875</v>
      </c>
      <c r="L12" s="12">
        <f t="shared" si="2"/>
        <v>2.875</v>
      </c>
      <c r="M12" s="12">
        <f t="shared" si="2"/>
        <v>2.875</v>
      </c>
      <c r="N12" s="12">
        <f t="shared" si="2"/>
        <v>2.875</v>
      </c>
      <c r="O12" s="12">
        <f t="shared" si="2"/>
        <v>2.875</v>
      </c>
      <c r="P12" s="12">
        <f t="shared" si="2"/>
        <v>2.875</v>
      </c>
      <c r="Q12" s="12">
        <f>+P12*4</f>
        <v>11.5</v>
      </c>
      <c r="R12" s="12">
        <f>+Q12</f>
        <v>11.5</v>
      </c>
      <c r="T12" s="9"/>
      <c r="U12" s="11"/>
    </row>
    <row r="13" spans="1:21" s="2" customFormat="1" ht="12.75">
      <c r="A13" s="31"/>
      <c r="B13" s="1" t="s">
        <v>14</v>
      </c>
      <c r="D13" s="4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T13" s="9"/>
      <c r="U13" s="11"/>
    </row>
    <row r="14" spans="1:21" s="2" customFormat="1" ht="12.75">
      <c r="A14" s="31"/>
      <c r="B14" s="7" t="s">
        <v>27</v>
      </c>
      <c r="D14" s="47">
        <f aca="true" t="shared" si="3" ref="D14:J14">+$U39/4</f>
        <v>2.1125000000000003</v>
      </c>
      <c r="E14" s="12">
        <f t="shared" si="3"/>
        <v>2.1125000000000003</v>
      </c>
      <c r="F14" s="12">
        <f t="shared" si="3"/>
        <v>2.1125000000000003</v>
      </c>
      <c r="G14" s="12">
        <f t="shared" si="3"/>
        <v>2.1125000000000003</v>
      </c>
      <c r="H14" s="12">
        <f t="shared" si="3"/>
        <v>2.1125000000000003</v>
      </c>
      <c r="I14" s="12">
        <f t="shared" si="3"/>
        <v>2.1125000000000003</v>
      </c>
      <c r="J14" s="12">
        <f t="shared" si="3"/>
        <v>2.1125000000000003</v>
      </c>
      <c r="K14" s="12"/>
      <c r="L14" s="12"/>
      <c r="M14" s="12"/>
      <c r="N14" s="12"/>
      <c r="O14" s="12"/>
      <c r="P14" s="12"/>
      <c r="Q14" s="12"/>
      <c r="R14" s="12"/>
      <c r="T14" s="9"/>
      <c r="U14" s="11"/>
    </row>
    <row r="15" spans="1:21" s="2" customFormat="1" ht="12.75">
      <c r="A15" s="31"/>
      <c r="B15" s="1" t="s">
        <v>26</v>
      </c>
      <c r="D15" s="47">
        <f aca="true" t="shared" si="4" ref="D15:L15">+$U40/4</f>
        <v>2.140625</v>
      </c>
      <c r="E15" s="12">
        <f t="shared" si="4"/>
        <v>2.140625</v>
      </c>
      <c r="F15" s="12">
        <f t="shared" si="4"/>
        <v>2.140625</v>
      </c>
      <c r="G15" s="12">
        <f t="shared" si="4"/>
        <v>2.140625</v>
      </c>
      <c r="H15" s="12">
        <f t="shared" si="4"/>
        <v>2.140625</v>
      </c>
      <c r="I15" s="12">
        <f t="shared" si="4"/>
        <v>2.140625</v>
      </c>
      <c r="J15" s="12">
        <f t="shared" si="4"/>
        <v>2.140625</v>
      </c>
      <c r="K15" s="12">
        <f t="shared" si="4"/>
        <v>2.140625</v>
      </c>
      <c r="L15" s="12">
        <f t="shared" si="4"/>
        <v>2.140625</v>
      </c>
      <c r="M15" s="12"/>
      <c r="N15" s="12"/>
      <c r="O15" s="12"/>
      <c r="P15" s="12"/>
      <c r="Q15" s="12"/>
      <c r="R15" s="12"/>
      <c r="T15" s="9"/>
      <c r="U15" s="11"/>
    </row>
    <row r="16" spans="1:21" s="2" customFormat="1" ht="12.75">
      <c r="A16" s="31"/>
      <c r="B16" s="1" t="s">
        <v>28</v>
      </c>
      <c r="D16" s="47">
        <f aca="true" t="shared" si="5" ref="D16:M16">+$U41/4</f>
        <v>3.640125</v>
      </c>
      <c r="E16" s="12">
        <f t="shared" si="5"/>
        <v>3.640125</v>
      </c>
      <c r="F16" s="12">
        <f t="shared" si="5"/>
        <v>3.640125</v>
      </c>
      <c r="G16" s="12">
        <f t="shared" si="5"/>
        <v>3.640125</v>
      </c>
      <c r="H16" s="12">
        <f t="shared" si="5"/>
        <v>3.640125</v>
      </c>
      <c r="I16" s="12">
        <f t="shared" si="5"/>
        <v>3.640125</v>
      </c>
      <c r="J16" s="12">
        <f t="shared" si="5"/>
        <v>3.640125</v>
      </c>
      <c r="K16" s="12">
        <f t="shared" si="5"/>
        <v>3.640125</v>
      </c>
      <c r="L16" s="12">
        <f t="shared" si="5"/>
        <v>3.640125</v>
      </c>
      <c r="M16" s="12">
        <f t="shared" si="5"/>
        <v>3.640125</v>
      </c>
      <c r="N16" s="12"/>
      <c r="O16" s="12"/>
      <c r="P16" s="12"/>
      <c r="Q16" s="12"/>
      <c r="R16" s="12"/>
      <c r="T16" s="9"/>
      <c r="U16" s="11"/>
    </row>
    <row r="17" spans="1:21" s="2" customFormat="1" ht="12.75">
      <c r="A17" s="31"/>
      <c r="B17" s="1" t="s">
        <v>29</v>
      </c>
      <c r="D17" s="47">
        <f aca="true" t="shared" si="6" ref="D17:P17">+$U42/4</f>
        <v>2.5185</v>
      </c>
      <c r="E17" s="12">
        <f t="shared" si="6"/>
        <v>2.5185</v>
      </c>
      <c r="F17" s="12">
        <f t="shared" si="6"/>
        <v>2.5185</v>
      </c>
      <c r="G17" s="12">
        <f t="shared" si="6"/>
        <v>2.5185</v>
      </c>
      <c r="H17" s="12">
        <f t="shared" si="6"/>
        <v>2.5185</v>
      </c>
      <c r="I17" s="12">
        <f t="shared" si="6"/>
        <v>2.5185</v>
      </c>
      <c r="J17" s="12">
        <f t="shared" si="6"/>
        <v>2.5185</v>
      </c>
      <c r="K17" s="12">
        <f t="shared" si="6"/>
        <v>2.5185</v>
      </c>
      <c r="L17" s="12">
        <f t="shared" si="6"/>
        <v>2.5185</v>
      </c>
      <c r="M17" s="12">
        <f t="shared" si="6"/>
        <v>2.5185</v>
      </c>
      <c r="N17" s="12">
        <f t="shared" si="6"/>
        <v>2.5185</v>
      </c>
      <c r="O17" s="12">
        <f t="shared" si="6"/>
        <v>2.5185</v>
      </c>
      <c r="P17" s="12">
        <f t="shared" si="6"/>
        <v>2.5185</v>
      </c>
      <c r="Q17" s="12">
        <v>1.5</v>
      </c>
      <c r="R17" s="12"/>
      <c r="T17" s="9"/>
      <c r="U17" s="11"/>
    </row>
    <row r="18" spans="1:21" s="2" customFormat="1" ht="12.75">
      <c r="A18" s="31"/>
      <c r="B18" s="1" t="s">
        <v>30</v>
      </c>
      <c r="D18" s="47">
        <f aca="true" t="shared" si="7" ref="D18:P18">+$U43/4</f>
        <v>4.2</v>
      </c>
      <c r="E18" s="12">
        <f t="shared" si="7"/>
        <v>4.2</v>
      </c>
      <c r="F18" s="12">
        <f t="shared" si="7"/>
        <v>4.2</v>
      </c>
      <c r="G18" s="12">
        <f t="shared" si="7"/>
        <v>4.2</v>
      </c>
      <c r="H18" s="12">
        <f t="shared" si="7"/>
        <v>4.2</v>
      </c>
      <c r="I18" s="12">
        <f t="shared" si="7"/>
        <v>4.2</v>
      </c>
      <c r="J18" s="12">
        <f t="shared" si="7"/>
        <v>4.2</v>
      </c>
      <c r="K18" s="12">
        <f t="shared" si="7"/>
        <v>4.2</v>
      </c>
      <c r="L18" s="12">
        <f t="shared" si="7"/>
        <v>4.2</v>
      </c>
      <c r="M18" s="12">
        <f t="shared" si="7"/>
        <v>4.2</v>
      </c>
      <c r="N18" s="12">
        <f t="shared" si="7"/>
        <v>4.2</v>
      </c>
      <c r="O18" s="12">
        <f t="shared" si="7"/>
        <v>4.2</v>
      </c>
      <c r="P18" s="12">
        <f t="shared" si="7"/>
        <v>4.2</v>
      </c>
      <c r="Q18" s="12">
        <f>+P18*4</f>
        <v>16.8</v>
      </c>
      <c r="R18" s="12">
        <v>3</v>
      </c>
      <c r="T18" s="9"/>
      <c r="U18" s="11"/>
    </row>
    <row r="19" spans="1:21" s="2" customFormat="1" ht="12.75">
      <c r="A19" s="31"/>
      <c r="B19" s="1" t="s">
        <v>31</v>
      </c>
      <c r="D19" s="47">
        <f aca="true" t="shared" si="8" ref="D19:P19">+$U44/4</f>
        <v>1.769625</v>
      </c>
      <c r="E19" s="12">
        <f t="shared" si="8"/>
        <v>1.769625</v>
      </c>
      <c r="F19" s="12">
        <f t="shared" si="8"/>
        <v>1.769625</v>
      </c>
      <c r="G19" s="12">
        <f t="shared" si="8"/>
        <v>1.769625</v>
      </c>
      <c r="H19" s="12">
        <f t="shared" si="8"/>
        <v>1.769625</v>
      </c>
      <c r="I19" s="12">
        <f t="shared" si="8"/>
        <v>1.769625</v>
      </c>
      <c r="J19" s="12">
        <f t="shared" si="8"/>
        <v>1.769625</v>
      </c>
      <c r="K19" s="12">
        <f t="shared" si="8"/>
        <v>1.769625</v>
      </c>
      <c r="L19" s="12">
        <f t="shared" si="8"/>
        <v>1.769625</v>
      </c>
      <c r="M19" s="12">
        <f t="shared" si="8"/>
        <v>1.769625</v>
      </c>
      <c r="N19" s="12">
        <f t="shared" si="8"/>
        <v>1.769625</v>
      </c>
      <c r="O19" s="12">
        <f t="shared" si="8"/>
        <v>1.769625</v>
      </c>
      <c r="P19" s="12">
        <f t="shared" si="8"/>
        <v>1.769625</v>
      </c>
      <c r="Q19" s="12">
        <f>+P19*4</f>
        <v>7.0785</v>
      </c>
      <c r="R19" s="12">
        <f>+Q19</f>
        <v>7.0785</v>
      </c>
      <c r="T19" s="9"/>
      <c r="U19" s="11"/>
    </row>
    <row r="20" spans="1:21" s="2" customFormat="1" ht="12.75">
      <c r="A20" s="31"/>
      <c r="B20" s="1" t="s">
        <v>32</v>
      </c>
      <c r="D20" s="47">
        <f aca="true" t="shared" si="9" ref="D20:P20">+$U45/4</f>
        <v>5.8125</v>
      </c>
      <c r="E20" s="12">
        <f t="shared" si="9"/>
        <v>5.8125</v>
      </c>
      <c r="F20" s="12">
        <f t="shared" si="9"/>
        <v>5.8125</v>
      </c>
      <c r="G20" s="12">
        <f t="shared" si="9"/>
        <v>5.8125</v>
      </c>
      <c r="H20" s="12">
        <f t="shared" si="9"/>
        <v>5.8125</v>
      </c>
      <c r="I20" s="12">
        <f t="shared" si="9"/>
        <v>5.8125</v>
      </c>
      <c r="J20" s="12">
        <f t="shared" si="9"/>
        <v>5.8125</v>
      </c>
      <c r="K20" s="12">
        <f t="shared" si="9"/>
        <v>5.8125</v>
      </c>
      <c r="L20" s="12">
        <f t="shared" si="9"/>
        <v>5.8125</v>
      </c>
      <c r="M20" s="12">
        <f t="shared" si="9"/>
        <v>5.8125</v>
      </c>
      <c r="N20" s="12">
        <f t="shared" si="9"/>
        <v>5.8125</v>
      </c>
      <c r="O20" s="12">
        <f t="shared" si="9"/>
        <v>5.8125</v>
      </c>
      <c r="P20" s="12">
        <f t="shared" si="9"/>
        <v>5.8125</v>
      </c>
      <c r="Q20" s="12">
        <f>+P20*4</f>
        <v>23.25</v>
      </c>
      <c r="R20" s="12">
        <f>+Q20</f>
        <v>23.25</v>
      </c>
      <c r="T20" s="9"/>
      <c r="U20" s="11"/>
    </row>
    <row r="21" spans="1:21" s="2" customFormat="1" ht="12.75">
      <c r="A21" s="31"/>
      <c r="B21" s="1" t="s">
        <v>33</v>
      </c>
      <c r="D21" s="47">
        <f aca="true" t="shared" si="10" ref="D21:P21">+$U46/4</f>
        <v>0.265625</v>
      </c>
      <c r="E21" s="12">
        <f t="shared" si="10"/>
        <v>0.265625</v>
      </c>
      <c r="F21" s="12">
        <f t="shared" si="10"/>
        <v>0.265625</v>
      </c>
      <c r="G21" s="12">
        <f t="shared" si="10"/>
        <v>0.265625</v>
      </c>
      <c r="H21" s="12">
        <f t="shared" si="10"/>
        <v>0.265625</v>
      </c>
      <c r="I21" s="12">
        <f t="shared" si="10"/>
        <v>0.265625</v>
      </c>
      <c r="J21" s="12">
        <f t="shared" si="10"/>
        <v>0.265625</v>
      </c>
      <c r="K21" s="12">
        <f t="shared" si="10"/>
        <v>0.265625</v>
      </c>
      <c r="L21" s="12">
        <f t="shared" si="10"/>
        <v>0.265625</v>
      </c>
      <c r="M21" s="12">
        <f t="shared" si="10"/>
        <v>0.265625</v>
      </c>
      <c r="N21" s="12">
        <f t="shared" si="10"/>
        <v>0.265625</v>
      </c>
      <c r="O21" s="12">
        <f t="shared" si="10"/>
        <v>0.265625</v>
      </c>
      <c r="P21" s="12">
        <f t="shared" si="10"/>
        <v>0.265625</v>
      </c>
      <c r="Q21" s="12">
        <f>+P21*4</f>
        <v>1.0625</v>
      </c>
      <c r="R21" s="12">
        <f>+Q21</f>
        <v>1.0625</v>
      </c>
      <c r="T21" s="9"/>
      <c r="U21" s="11"/>
    </row>
    <row r="22" spans="1:21" s="2" customFormat="1" ht="12.75">
      <c r="A22" s="31"/>
      <c r="B22" s="25" t="s">
        <v>39</v>
      </c>
      <c r="D22" s="4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T22" s="9"/>
      <c r="U22" s="11"/>
    </row>
    <row r="23" spans="1:21" s="2" customFormat="1" ht="12.75">
      <c r="A23" s="31"/>
      <c r="B23" s="2" t="s">
        <v>18</v>
      </c>
      <c r="D23" s="47">
        <v>20</v>
      </c>
      <c r="E23" s="12">
        <v>30</v>
      </c>
      <c r="F23" s="12">
        <f aca="true" t="shared" si="11" ref="F23:P23">+E23</f>
        <v>30</v>
      </c>
      <c r="G23" s="12">
        <f t="shared" si="11"/>
        <v>30</v>
      </c>
      <c r="H23" s="12">
        <f t="shared" si="11"/>
        <v>30</v>
      </c>
      <c r="I23" s="12">
        <f t="shared" si="11"/>
        <v>30</v>
      </c>
      <c r="J23" s="12">
        <f t="shared" si="11"/>
        <v>30</v>
      </c>
      <c r="K23" s="12">
        <f t="shared" si="11"/>
        <v>30</v>
      </c>
      <c r="L23" s="12">
        <f t="shared" si="11"/>
        <v>30</v>
      </c>
      <c r="M23" s="12">
        <f t="shared" si="11"/>
        <v>30</v>
      </c>
      <c r="N23" s="12">
        <f t="shared" si="11"/>
        <v>30</v>
      </c>
      <c r="O23" s="12">
        <f t="shared" si="11"/>
        <v>30</v>
      </c>
      <c r="P23" s="12">
        <f t="shared" si="11"/>
        <v>30</v>
      </c>
      <c r="Q23" s="12">
        <f>+P23*4</f>
        <v>120</v>
      </c>
      <c r="R23" s="12">
        <f>+Q23</f>
        <v>120</v>
      </c>
      <c r="T23" s="9"/>
      <c r="U23" s="11"/>
    </row>
    <row r="24" spans="1:21" s="2" customFormat="1" ht="12.75">
      <c r="A24" s="31"/>
      <c r="B24" s="2" t="s">
        <v>13</v>
      </c>
      <c r="D24" s="47"/>
      <c r="E24" s="12">
        <v>30</v>
      </c>
      <c r="F24" s="12">
        <f>+E24</f>
        <v>30</v>
      </c>
      <c r="G24" s="12">
        <f>+F24</f>
        <v>30</v>
      </c>
      <c r="H24" s="12">
        <f>+G24</f>
        <v>30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T24" s="9"/>
      <c r="U24" s="11"/>
    </row>
    <row r="25" spans="1:21" s="2" customFormat="1" ht="12.75">
      <c r="A25" s="31"/>
      <c r="D25" s="4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T25" s="9"/>
      <c r="U25" s="11"/>
    </row>
    <row r="26" spans="1:21" s="2" customFormat="1" ht="12.75">
      <c r="A26" s="31"/>
      <c r="B26" s="25" t="s">
        <v>19</v>
      </c>
      <c r="D26" s="47">
        <v>10</v>
      </c>
      <c r="E26" s="12">
        <f>+D26</f>
        <v>10</v>
      </c>
      <c r="F26" s="12">
        <v>8</v>
      </c>
      <c r="G26" s="12">
        <f aca="true" t="shared" si="12" ref="G26:P26">+F26</f>
        <v>8</v>
      </c>
      <c r="H26" s="12">
        <f t="shared" si="12"/>
        <v>8</v>
      </c>
      <c r="I26" s="12">
        <f t="shared" si="12"/>
        <v>8</v>
      </c>
      <c r="J26" s="12">
        <f t="shared" si="12"/>
        <v>8</v>
      </c>
      <c r="K26" s="12">
        <f t="shared" si="12"/>
        <v>8</v>
      </c>
      <c r="L26" s="12">
        <f t="shared" si="12"/>
        <v>8</v>
      </c>
      <c r="M26" s="12">
        <f t="shared" si="12"/>
        <v>8</v>
      </c>
      <c r="N26" s="12">
        <f t="shared" si="12"/>
        <v>8</v>
      </c>
      <c r="O26" s="12">
        <f t="shared" si="12"/>
        <v>8</v>
      </c>
      <c r="P26" s="12">
        <f t="shared" si="12"/>
        <v>8</v>
      </c>
      <c r="Q26" s="12">
        <f>+P26*4</f>
        <v>32</v>
      </c>
      <c r="R26" s="12">
        <f>+Q26</f>
        <v>32</v>
      </c>
      <c r="T26" s="9"/>
      <c r="U26" s="11"/>
    </row>
    <row r="27" spans="1:21" s="2" customFormat="1" ht="12.75">
      <c r="A27" s="31"/>
      <c r="D27" s="4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T27" s="9"/>
      <c r="U27" s="11"/>
    </row>
    <row r="28" spans="1:21" s="26" customFormat="1" ht="12.75">
      <c r="A28" s="32" t="s">
        <v>40</v>
      </c>
      <c r="B28" s="25" t="s">
        <v>21</v>
      </c>
      <c r="D28" s="46">
        <f>SUM(D9:D27)</f>
        <v>59.9895</v>
      </c>
      <c r="E28" s="27">
        <f aca="true" t="shared" si="13" ref="E28:R28">SUM(E9:E27)</f>
        <v>97.4045</v>
      </c>
      <c r="F28" s="27">
        <f t="shared" si="13"/>
        <v>95.4045</v>
      </c>
      <c r="G28" s="27">
        <f t="shared" si="13"/>
        <v>95.4045</v>
      </c>
      <c r="H28" s="27">
        <f t="shared" si="13"/>
        <v>95.4045</v>
      </c>
      <c r="I28" s="27">
        <f t="shared" si="13"/>
        <v>65.4045</v>
      </c>
      <c r="J28" s="27">
        <f t="shared" si="13"/>
        <v>63.334500000000006</v>
      </c>
      <c r="K28" s="27">
        <f t="shared" si="13"/>
        <v>61.222</v>
      </c>
      <c r="L28" s="27">
        <f t="shared" si="13"/>
        <v>61.222</v>
      </c>
      <c r="M28" s="27">
        <f t="shared" si="13"/>
        <v>59.081375</v>
      </c>
      <c r="N28" s="27">
        <f t="shared" si="13"/>
        <v>55.44125</v>
      </c>
      <c r="O28" s="27">
        <f t="shared" si="13"/>
        <v>55.44125</v>
      </c>
      <c r="P28" s="27">
        <f t="shared" si="13"/>
        <v>55.44125</v>
      </c>
      <c r="Q28" s="27">
        <f t="shared" si="13"/>
        <v>213.191</v>
      </c>
      <c r="R28" s="27">
        <f t="shared" si="13"/>
        <v>197.891</v>
      </c>
      <c r="T28" s="28"/>
      <c r="U28" s="29"/>
    </row>
    <row r="29" spans="1:21" s="26" customFormat="1" ht="12.75">
      <c r="A29" s="32"/>
      <c r="B29" s="25"/>
      <c r="D29" s="4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T29" s="28"/>
      <c r="U29" s="29"/>
    </row>
    <row r="30" spans="1:21" s="26" customFormat="1" ht="12.75">
      <c r="A30" s="32"/>
      <c r="B30" s="3" t="s">
        <v>35</v>
      </c>
      <c r="C30" s="3"/>
      <c r="D30" s="47">
        <v>52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T30" s="28"/>
      <c r="U30" s="29"/>
    </row>
    <row r="31" spans="1:21" s="2" customFormat="1" ht="12.75">
      <c r="A31" s="31"/>
      <c r="B31" s="3" t="s">
        <v>54</v>
      </c>
      <c r="C31" s="3"/>
      <c r="D31" s="48">
        <v>72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T31" s="9"/>
      <c r="U31" s="11"/>
    </row>
    <row r="32" spans="1:21" s="26" customFormat="1" ht="13.5" thickBot="1">
      <c r="A32" s="32" t="s">
        <v>41</v>
      </c>
      <c r="B32" s="25" t="s">
        <v>43</v>
      </c>
      <c r="C32" s="32" t="s">
        <v>44</v>
      </c>
      <c r="D32" s="49">
        <f>+D6-D28+D31+D30</f>
        <v>219.0105</v>
      </c>
      <c r="E32" s="33">
        <f aca="true" t="shared" si="14" ref="E32:R32">+E6-E28</f>
        <v>52.5955</v>
      </c>
      <c r="F32" s="33">
        <f t="shared" si="14"/>
        <v>54.5955</v>
      </c>
      <c r="G32" s="33">
        <f t="shared" si="14"/>
        <v>54.5955</v>
      </c>
      <c r="H32" s="33">
        <f t="shared" si="14"/>
        <v>54.5955</v>
      </c>
      <c r="I32" s="33">
        <f t="shared" si="14"/>
        <v>84.5955</v>
      </c>
      <c r="J32" s="33">
        <f t="shared" si="14"/>
        <v>86.6655</v>
      </c>
      <c r="K32" s="33">
        <f t="shared" si="14"/>
        <v>88.77799999999999</v>
      </c>
      <c r="L32" s="33">
        <f t="shared" si="14"/>
        <v>88.77799999999999</v>
      </c>
      <c r="M32" s="33">
        <f t="shared" si="14"/>
        <v>90.91862499999999</v>
      </c>
      <c r="N32" s="33">
        <f t="shared" si="14"/>
        <v>94.55875</v>
      </c>
      <c r="O32" s="33">
        <f t="shared" si="14"/>
        <v>94.55875</v>
      </c>
      <c r="P32" s="33">
        <f t="shared" si="14"/>
        <v>94.55875</v>
      </c>
      <c r="Q32" s="33">
        <f t="shared" si="14"/>
        <v>386.80899999999997</v>
      </c>
      <c r="R32" s="33">
        <f t="shared" si="14"/>
        <v>402.10900000000004</v>
      </c>
      <c r="T32" s="28"/>
      <c r="U32" s="29"/>
    </row>
    <row r="33" spans="1:21" s="2" customFormat="1" ht="13.5" thickTop="1">
      <c r="A33" s="31"/>
      <c r="B33" s="3"/>
      <c r="C33" s="3"/>
      <c r="D33" s="4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T33" s="39" t="s">
        <v>55</v>
      </c>
      <c r="U33" s="40" t="s">
        <v>49</v>
      </c>
    </row>
    <row r="34" spans="2:21" ht="12.75">
      <c r="B34" s="54" t="s">
        <v>22</v>
      </c>
      <c r="D34" s="50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T34" s="41" t="s">
        <v>22</v>
      </c>
      <c r="U34" s="42" t="s">
        <v>48</v>
      </c>
    </row>
    <row r="35" spans="1:21" ht="12.75">
      <c r="A35" s="6" t="s">
        <v>42</v>
      </c>
      <c r="B35" s="1" t="s">
        <v>0</v>
      </c>
      <c r="C35" s="1">
        <v>266</v>
      </c>
      <c r="D35" s="50">
        <v>86</v>
      </c>
      <c r="E35" s="14">
        <v>25</v>
      </c>
      <c r="F35" s="14">
        <v>25</v>
      </c>
      <c r="G35" s="14">
        <v>25</v>
      </c>
      <c r="H35" s="14">
        <v>25</v>
      </c>
      <c r="I35" s="14">
        <v>105</v>
      </c>
      <c r="J35" s="14"/>
      <c r="K35" s="14"/>
      <c r="L35" s="14"/>
      <c r="M35" s="14"/>
      <c r="N35" s="14"/>
      <c r="O35" s="14"/>
      <c r="P35" s="14"/>
      <c r="Q35" s="14"/>
      <c r="R35" s="14"/>
      <c r="T35" s="10">
        <f>+C35-D35</f>
        <v>180</v>
      </c>
      <c r="U35" s="5">
        <f>+T35*0.046</f>
        <v>8.28</v>
      </c>
    </row>
    <row r="36" spans="1:20" ht="12.75">
      <c r="A36" s="6" t="s">
        <v>42</v>
      </c>
      <c r="B36" s="1" t="s">
        <v>25</v>
      </c>
      <c r="C36" s="1">
        <v>35</v>
      </c>
      <c r="D36" s="50">
        <v>35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T36" s="10">
        <f>+C36-D36</f>
        <v>0</v>
      </c>
    </row>
    <row r="37" spans="1:21" ht="12.75">
      <c r="A37" s="6" t="s">
        <v>42</v>
      </c>
      <c r="B37" s="1" t="s">
        <v>34</v>
      </c>
      <c r="C37" s="8">
        <f>+T37</f>
        <v>184</v>
      </c>
      <c r="D37" s="5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>
        <v>184</v>
      </c>
      <c r="T37" s="10">
        <f aca="true" t="shared" si="15" ref="T37:T46">SUM(D37:S37)</f>
        <v>184</v>
      </c>
      <c r="U37" s="5">
        <f>+T37*0.0625</f>
        <v>11.5</v>
      </c>
    </row>
    <row r="38" spans="1:18" ht="12.75">
      <c r="A38" s="6" t="s">
        <v>42</v>
      </c>
      <c r="B38" s="19" t="s">
        <v>14</v>
      </c>
      <c r="C38" s="1"/>
      <c r="D38" s="50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21" ht="12.75">
      <c r="A39" s="6" t="s">
        <v>42</v>
      </c>
      <c r="B39" s="7" t="s">
        <v>27</v>
      </c>
      <c r="C39" s="8">
        <v>130</v>
      </c>
      <c r="D39" s="50"/>
      <c r="E39" s="14"/>
      <c r="F39" s="14"/>
      <c r="G39" s="14"/>
      <c r="H39" s="14"/>
      <c r="I39" s="14"/>
      <c r="J39" s="14"/>
      <c r="K39" s="14">
        <v>130</v>
      </c>
      <c r="L39" s="14"/>
      <c r="M39" s="14"/>
      <c r="N39" s="14"/>
      <c r="O39" s="14"/>
      <c r="P39" s="14"/>
      <c r="Q39" s="14"/>
      <c r="R39" s="14"/>
      <c r="T39" s="10">
        <f t="shared" si="15"/>
        <v>130</v>
      </c>
      <c r="U39" s="5">
        <f>+T39*0.065</f>
        <v>8.450000000000001</v>
      </c>
    </row>
    <row r="40" spans="1:21" ht="12.75">
      <c r="A40" s="6" t="s">
        <v>42</v>
      </c>
      <c r="B40" s="1" t="s">
        <v>26</v>
      </c>
      <c r="C40" s="8">
        <v>125</v>
      </c>
      <c r="D40" s="50"/>
      <c r="E40" s="14"/>
      <c r="F40" s="14"/>
      <c r="G40" s="14"/>
      <c r="H40" s="14"/>
      <c r="I40" s="14"/>
      <c r="J40" s="14"/>
      <c r="K40" s="14"/>
      <c r="L40" s="14">
        <v>125</v>
      </c>
      <c r="M40" s="14"/>
      <c r="N40" s="14"/>
      <c r="O40" s="14"/>
      <c r="P40" s="14"/>
      <c r="Q40" s="14"/>
      <c r="R40" s="14"/>
      <c r="T40" s="10">
        <f t="shared" si="15"/>
        <v>125</v>
      </c>
      <c r="U40" s="5">
        <f>+T40*0.0685</f>
        <v>8.5625</v>
      </c>
    </row>
    <row r="41" spans="1:21" ht="12.75">
      <c r="A41" s="6" t="s">
        <v>42</v>
      </c>
      <c r="B41" s="1" t="s">
        <v>28</v>
      </c>
      <c r="C41" s="8">
        <v>255</v>
      </c>
      <c r="D41" s="50"/>
      <c r="E41" s="14"/>
      <c r="F41" s="14"/>
      <c r="G41" s="14"/>
      <c r="H41" s="14"/>
      <c r="I41" s="14"/>
      <c r="J41" s="14"/>
      <c r="K41" s="14"/>
      <c r="L41" s="14"/>
      <c r="M41" s="14"/>
      <c r="N41" s="14">
        <v>255</v>
      </c>
      <c r="O41" s="14"/>
      <c r="P41" s="14"/>
      <c r="Q41" s="14"/>
      <c r="R41" s="14"/>
      <c r="T41" s="10">
        <f t="shared" si="15"/>
        <v>255</v>
      </c>
      <c r="U41" s="5">
        <f>+T41*0.0571</f>
        <v>14.5605</v>
      </c>
    </row>
    <row r="42" spans="1:21" ht="12.75">
      <c r="A42" s="6" t="s">
        <v>42</v>
      </c>
      <c r="B42" s="1" t="s">
        <v>29</v>
      </c>
      <c r="C42" s="8">
        <v>138</v>
      </c>
      <c r="D42" s="5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>
        <v>138</v>
      </c>
      <c r="R42" s="14"/>
      <c r="T42" s="10">
        <f t="shared" si="15"/>
        <v>138</v>
      </c>
      <c r="U42" s="5">
        <f>+T42*0.073</f>
        <v>10.074</v>
      </c>
    </row>
    <row r="43" spans="1:21" ht="12.75">
      <c r="A43" s="6" t="s">
        <v>42</v>
      </c>
      <c r="B43" s="1" t="s">
        <v>30</v>
      </c>
      <c r="C43" s="8">
        <v>320</v>
      </c>
      <c r="D43" s="50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>
        <v>320</v>
      </c>
      <c r="T43" s="10">
        <f t="shared" si="15"/>
        <v>320</v>
      </c>
      <c r="U43" s="5">
        <f>+T43*0.0525</f>
        <v>16.8</v>
      </c>
    </row>
    <row r="44" spans="1:21" ht="12.75">
      <c r="A44" s="6" t="s">
        <v>42</v>
      </c>
      <c r="B44" s="1" t="s">
        <v>31</v>
      </c>
      <c r="C44" s="8">
        <v>121</v>
      </c>
      <c r="D44" s="50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>
        <v>121</v>
      </c>
      <c r="T44" s="10">
        <f t="shared" si="15"/>
        <v>121</v>
      </c>
      <c r="U44" s="5">
        <f>+T44*0.0585</f>
        <v>7.0785</v>
      </c>
    </row>
    <row r="45" spans="1:21" ht="12.75">
      <c r="A45" s="6" t="s">
        <v>42</v>
      </c>
      <c r="B45" s="1" t="s">
        <v>32</v>
      </c>
      <c r="C45" s="8">
        <v>300</v>
      </c>
      <c r="D45" s="50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>
        <v>300</v>
      </c>
      <c r="T45" s="10">
        <f t="shared" si="15"/>
        <v>300</v>
      </c>
      <c r="U45" s="5">
        <f>+T45*0.0775</f>
        <v>23.25</v>
      </c>
    </row>
    <row r="46" spans="1:21" ht="12.75">
      <c r="A46" s="6" t="s">
        <v>42</v>
      </c>
      <c r="B46" s="1" t="s">
        <v>33</v>
      </c>
      <c r="C46" s="8">
        <v>17</v>
      </c>
      <c r="D46" s="5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>
        <v>17</v>
      </c>
      <c r="T46" s="10">
        <f t="shared" si="15"/>
        <v>17</v>
      </c>
      <c r="U46" s="5">
        <f>+T46*0.0625</f>
        <v>1.0625</v>
      </c>
    </row>
    <row r="47" spans="2:18" ht="13.5" thickBot="1">
      <c r="B47" s="19" t="s">
        <v>69</v>
      </c>
      <c r="C47" s="70">
        <f>SUM(C35:C46)</f>
        <v>1891</v>
      </c>
      <c r="D47" s="50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1" s="16" customFormat="1" ht="14.25" thickBot="1" thickTop="1">
      <c r="A48" s="17" t="s">
        <v>45</v>
      </c>
      <c r="B48" s="16" t="s">
        <v>53</v>
      </c>
      <c r="C48" s="17" t="s">
        <v>51</v>
      </c>
      <c r="D48" s="51">
        <f aca="true" t="shared" si="16" ref="D48:R48">-SUM(D33:D47)+D32</f>
        <v>98.01050000000001</v>
      </c>
      <c r="E48" s="34">
        <f t="shared" si="16"/>
        <v>27.5955</v>
      </c>
      <c r="F48" s="34">
        <f t="shared" si="16"/>
        <v>29.5955</v>
      </c>
      <c r="G48" s="34">
        <f t="shared" si="16"/>
        <v>29.5955</v>
      </c>
      <c r="H48" s="34">
        <f t="shared" si="16"/>
        <v>29.5955</v>
      </c>
      <c r="I48" s="34">
        <f t="shared" si="16"/>
        <v>-20.4045</v>
      </c>
      <c r="J48" s="34">
        <f t="shared" si="16"/>
        <v>86.6655</v>
      </c>
      <c r="K48" s="34">
        <f t="shared" si="16"/>
        <v>-41.22200000000001</v>
      </c>
      <c r="L48" s="34">
        <f t="shared" si="16"/>
        <v>-36.22200000000001</v>
      </c>
      <c r="M48" s="34">
        <f t="shared" si="16"/>
        <v>90.91862499999999</v>
      </c>
      <c r="N48" s="34">
        <f t="shared" si="16"/>
        <v>-160.44125</v>
      </c>
      <c r="O48" s="34">
        <f t="shared" si="16"/>
        <v>94.55875</v>
      </c>
      <c r="P48" s="34">
        <f t="shared" si="16"/>
        <v>94.55875</v>
      </c>
      <c r="Q48" s="34">
        <f t="shared" si="16"/>
        <v>248.80899999999997</v>
      </c>
      <c r="R48" s="34">
        <f t="shared" si="16"/>
        <v>82.10900000000004</v>
      </c>
      <c r="S48" s="35"/>
      <c r="T48" s="57">
        <f>SUM(T33:T47)</f>
        <v>1770</v>
      </c>
      <c r="U48" s="57">
        <f>SUM(U33:U47)</f>
        <v>109.61800000000001</v>
      </c>
    </row>
    <row r="49" spans="4:19" ht="14.25" thickBot="1" thickTop="1">
      <c r="D49" s="50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4"/>
    </row>
    <row r="50" spans="1:21" s="16" customFormat="1" ht="13.5" thickBot="1">
      <c r="A50" s="17" t="s">
        <v>52</v>
      </c>
      <c r="B50" s="16" t="s">
        <v>23</v>
      </c>
      <c r="D50" s="52">
        <f>+D48</f>
        <v>98.01050000000001</v>
      </c>
      <c r="E50" s="36">
        <f>+D50+E48</f>
        <v>125.60600000000001</v>
      </c>
      <c r="F50" s="36">
        <f aca="true" t="shared" si="17" ref="F50:R50">+E50+F48</f>
        <v>155.2015</v>
      </c>
      <c r="G50" s="36">
        <f t="shared" si="17"/>
        <v>184.79700000000003</v>
      </c>
      <c r="H50" s="36">
        <f t="shared" si="17"/>
        <v>214.39250000000004</v>
      </c>
      <c r="I50" s="36">
        <f t="shared" si="17"/>
        <v>193.98800000000006</v>
      </c>
      <c r="J50" s="36">
        <f t="shared" si="17"/>
        <v>280.65350000000007</v>
      </c>
      <c r="K50" s="36">
        <f t="shared" si="17"/>
        <v>239.43150000000006</v>
      </c>
      <c r="L50" s="15">
        <f t="shared" si="17"/>
        <v>203.20950000000005</v>
      </c>
      <c r="M50" s="36">
        <f t="shared" si="17"/>
        <v>294.12812500000007</v>
      </c>
      <c r="N50" s="15">
        <f t="shared" si="17"/>
        <v>133.68687500000007</v>
      </c>
      <c r="O50" s="36">
        <f t="shared" si="17"/>
        <v>228.24562500000008</v>
      </c>
      <c r="P50" s="36">
        <f t="shared" si="17"/>
        <v>322.80437500000005</v>
      </c>
      <c r="Q50" s="36">
        <f t="shared" si="17"/>
        <v>571.613375</v>
      </c>
      <c r="R50" s="36">
        <f t="shared" si="17"/>
        <v>653.722375</v>
      </c>
      <c r="S50" s="35"/>
      <c r="T50" s="37"/>
      <c r="U50" s="18"/>
    </row>
    <row r="51" ht="13.5" thickBot="1">
      <c r="B51" s="55" t="s">
        <v>50</v>
      </c>
    </row>
    <row r="52" spans="15:20" ht="18.75" thickBot="1">
      <c r="O52" s="19" t="s">
        <v>68</v>
      </c>
      <c r="P52" s="1" t="s">
        <v>58</v>
      </c>
      <c r="Q52" t="s">
        <v>57</v>
      </c>
      <c r="R52" s="14">
        <f>(+$E$6+$F$6)*2</f>
        <v>600</v>
      </c>
      <c r="S52" s="17" t="s">
        <v>67</v>
      </c>
      <c r="T52" s="69">
        <f>+T48/+(R52)</f>
        <v>2.95</v>
      </c>
    </row>
    <row r="53" spans="15:20" ht="12.75">
      <c r="O53" s="1"/>
      <c r="P53" s="1"/>
      <c r="T53" s="56"/>
    </row>
    <row r="54" spans="20:21" ht="13.5" thickBot="1">
      <c r="T54" s="1" t="s">
        <v>62</v>
      </c>
      <c r="U54" s="58">
        <f>+U48*0.5</f>
        <v>54.809000000000005</v>
      </c>
    </row>
    <row r="55" spans="15:21" ht="18.75" thickBot="1">
      <c r="O55" s="19" t="s">
        <v>59</v>
      </c>
      <c r="P55" s="1" t="s">
        <v>58</v>
      </c>
      <c r="Q55" t="s">
        <v>57</v>
      </c>
      <c r="R55" s="14">
        <f>(+$E$6+$F$6)</f>
        <v>300</v>
      </c>
      <c r="T55" s="24" t="s">
        <v>60</v>
      </c>
      <c r="U55" s="69">
        <f>+R55/U54</f>
        <v>5.473553613457644</v>
      </c>
    </row>
    <row r="58" spans="4:5" ht="12.75">
      <c r="D58" s="60" t="s">
        <v>66</v>
      </c>
      <c r="E58" s="61"/>
    </row>
    <row r="59" spans="4:5" ht="12.75">
      <c r="D59" s="62" t="s">
        <v>24</v>
      </c>
      <c r="E59" s="63" t="s">
        <v>19</v>
      </c>
    </row>
    <row r="60" spans="4:6" ht="12.75">
      <c r="D60" s="6">
        <v>1</v>
      </c>
      <c r="E60" s="5">
        <f>10*25*0.0425</f>
        <v>10.625</v>
      </c>
      <c r="F60" t="s">
        <v>61</v>
      </c>
    </row>
    <row r="61" spans="4:5" ht="12.75">
      <c r="D61" s="6">
        <v>2</v>
      </c>
      <c r="E61" s="5">
        <f>6*1.25</f>
        <v>7.5</v>
      </c>
    </row>
    <row r="62" spans="4:5" ht="12.75">
      <c r="D62" s="6">
        <v>3</v>
      </c>
      <c r="E62" s="5">
        <f>203*0.0675</f>
        <v>13.7025</v>
      </c>
    </row>
    <row r="63" spans="4:5" ht="12.75">
      <c r="D63" s="6">
        <v>5</v>
      </c>
      <c r="E63" s="5">
        <f>123*0.069</f>
        <v>8.487</v>
      </c>
    </row>
    <row r="64" spans="4:5" ht="12.75">
      <c r="D64" s="6">
        <v>7</v>
      </c>
      <c r="E64" s="5">
        <f>3*0.05</f>
        <v>0.15000000000000002</v>
      </c>
    </row>
    <row r="66" spans="4:5" ht="13.5" thickBot="1">
      <c r="D66" s="16" t="s">
        <v>37</v>
      </c>
      <c r="E66" s="59">
        <f>SUM(E60:E65)</f>
        <v>40.4645</v>
      </c>
    </row>
    <row r="67" ht="13.5" thickTop="1"/>
  </sheetData>
  <sheetProtection/>
  <printOptions/>
  <pageMargins left="0.75" right="0.75" top="1" bottom="1" header="0.5" footer="0.5"/>
  <pageSetup orientation="portrait" paperSize="9" r:id="rId3"/>
  <ignoredErrors>
    <ignoredError sqref="T37:T4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John</cp:lastModifiedBy>
  <dcterms:created xsi:type="dcterms:W3CDTF">2011-12-06T13:40:04Z</dcterms:created>
  <dcterms:modified xsi:type="dcterms:W3CDTF">2012-01-16T16:06:47Z</dcterms:modified>
  <cp:category/>
  <cp:version/>
  <cp:contentType/>
  <cp:contentStatus/>
</cp:coreProperties>
</file>